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W:\ДЛЯ РЭК\Инвестиции\2025\ИСУ\"/>
    </mc:Choice>
  </mc:AlternateContent>
  <xr:revisionPtr revIDLastSave="0" documentId="13_ncr:1_{8E732E30-8E56-4D7A-B6D3-57B510402F47}" xr6:coauthVersionLast="36" xr6:coauthVersionMax="36" xr10:uidLastSave="{00000000-0000-0000-0000-000000000000}"/>
  <bookViews>
    <workbookView xWindow="0" yWindow="0" windowWidth="28800" windowHeight="11235" xr2:uid="{618CF2AC-DE39-4C93-9F71-ADDE377E99F8}"/>
  </bookViews>
  <sheets>
    <sheet name="квартирные ПУ" sheetId="2" r:id="rId1"/>
    <sheet name="встройка" sheetId="4" r:id="rId2"/>
    <sheet name="ОДПУ" sheetId="3" r:id="rId3"/>
    <sheet name="канал" sheetId="1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1" i="2" l="1"/>
  <c r="F51" i="2"/>
  <c r="F52" i="2"/>
  <c r="E52" i="2"/>
  <c r="G52" i="2" s="1"/>
  <c r="H52" i="2" s="1"/>
  <c r="E51" i="2"/>
  <c r="H51" i="2" s="1"/>
  <c r="F40" i="2"/>
  <c r="E40" i="2"/>
  <c r="F46" i="2"/>
  <c r="G46" i="2"/>
  <c r="H46" i="2"/>
  <c r="F47" i="2"/>
  <c r="G47" i="2"/>
  <c r="H47" i="2"/>
  <c r="E47" i="2"/>
  <c r="E46" i="2"/>
  <c r="G24" i="2"/>
  <c r="G36" i="2" s="1"/>
  <c r="H24" i="2"/>
  <c r="H36" i="2" s="1"/>
  <c r="H41" i="2" s="1"/>
  <c r="F24" i="2"/>
  <c r="F36" i="2" s="1"/>
  <c r="I46" i="2" l="1"/>
  <c r="I47" i="2"/>
  <c r="I51" i="2"/>
  <c r="I52" i="2"/>
  <c r="C26" i="4" l="1"/>
  <c r="D26" i="4"/>
  <c r="E26" i="4"/>
  <c r="B26" i="4"/>
  <c r="D25" i="4"/>
  <c r="E25" i="4"/>
  <c r="C25" i="4"/>
  <c r="B25" i="4"/>
  <c r="D22" i="4"/>
  <c r="E22" i="4"/>
  <c r="C22" i="4"/>
  <c r="B22" i="4"/>
  <c r="D21" i="4"/>
  <c r="E21" i="4"/>
  <c r="C21" i="4"/>
  <c r="B21" i="4"/>
  <c r="G27" i="2" l="1"/>
  <c r="H27" i="2"/>
  <c r="F27" i="2"/>
  <c r="G26" i="2"/>
  <c r="H26" i="2"/>
  <c r="F26" i="2"/>
  <c r="G23" i="2"/>
  <c r="G35" i="2" s="1"/>
  <c r="H23" i="2"/>
  <c r="H35" i="2" s="1"/>
  <c r="H40" i="2" s="1"/>
  <c r="F23" i="2"/>
  <c r="F35" i="2" s="1"/>
  <c r="E23" i="2"/>
  <c r="E35" i="2" s="1"/>
  <c r="G40" i="2" s="1"/>
  <c r="C12" i="2"/>
  <c r="E27" i="2" s="1"/>
  <c r="C11" i="2"/>
  <c r="E26" i="2" s="1"/>
  <c r="B12" i="2"/>
  <c r="E24" i="2" s="1"/>
  <c r="E36" i="2" s="1"/>
  <c r="I36" i="2" s="1"/>
  <c r="B11" i="2"/>
  <c r="I35" i="2" l="1"/>
  <c r="I40" i="2"/>
  <c r="C8" i="2" l="1"/>
  <c r="C19" i="2" s="1"/>
  <c r="C7" i="2"/>
  <c r="C18" i="2" s="1"/>
  <c r="B8" i="2"/>
  <c r="B19" i="2" s="1"/>
  <c r="B7" i="2"/>
  <c r="B18" i="2" s="1"/>
  <c r="P16" i="4" l="1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B16" i="4"/>
  <c r="O11" i="4"/>
  <c r="P11" i="4"/>
  <c r="N11" i="4"/>
  <c r="M11" i="4"/>
  <c r="L11" i="4"/>
  <c r="K11" i="4"/>
  <c r="C11" i="4"/>
  <c r="D11" i="4"/>
  <c r="E11" i="4"/>
  <c r="F11" i="4"/>
  <c r="G11" i="4"/>
  <c r="H11" i="4"/>
  <c r="I11" i="4"/>
  <c r="J11" i="4"/>
  <c r="B11" i="4"/>
  <c r="C17" i="4"/>
  <c r="D17" i="4"/>
  <c r="E17" i="4"/>
  <c r="F17" i="4"/>
  <c r="G17" i="4"/>
  <c r="H17" i="4"/>
  <c r="I17" i="4"/>
  <c r="J17" i="4"/>
  <c r="K17" i="4"/>
  <c r="L17" i="4"/>
  <c r="M17" i="4"/>
  <c r="N17" i="4"/>
  <c r="O17" i="4"/>
  <c r="P17" i="4"/>
  <c r="B17" i="4"/>
  <c r="C12" i="4"/>
  <c r="D12" i="4"/>
  <c r="E12" i="4"/>
  <c r="F12" i="4"/>
  <c r="G12" i="4"/>
  <c r="H12" i="4"/>
  <c r="I12" i="4"/>
  <c r="J12" i="4"/>
  <c r="K12" i="4"/>
  <c r="L12" i="4"/>
  <c r="M12" i="4"/>
  <c r="N12" i="4"/>
  <c r="O12" i="4"/>
  <c r="P12" i="4"/>
  <c r="B12" i="4"/>
  <c r="B47" i="1" l="1"/>
  <c r="C39" i="1"/>
  <c r="C38" i="1"/>
  <c r="C37" i="1"/>
  <c r="B39" i="1"/>
  <c r="B38" i="1"/>
  <c r="B37" i="1"/>
  <c r="B22" i="1" l="1"/>
  <c r="C14" i="1"/>
  <c r="C13" i="1"/>
  <c r="C12" i="1"/>
  <c r="B14" i="1"/>
  <c r="B13" i="1"/>
  <c r="B12" i="1"/>
  <c r="C22" i="1"/>
  <c r="C22" i="3"/>
  <c r="C21" i="1"/>
  <c r="B46" i="1"/>
  <c r="B21" i="1"/>
  <c r="B45" i="1"/>
  <c r="B20" i="1"/>
  <c r="B20" i="3" l="1"/>
  <c r="B21" i="3"/>
  <c r="C20" i="1"/>
  <c r="C45" i="1"/>
  <c r="C20" i="3"/>
  <c r="C47" i="1"/>
  <c r="C21" i="3"/>
  <c r="C44" i="1"/>
  <c r="C19" i="1"/>
  <c r="C23" i="1" s="1"/>
  <c r="C46" i="1" l="1"/>
  <c r="C48" i="1" s="1"/>
  <c r="B44" i="1"/>
  <c r="B48" i="1" s="1"/>
  <c r="B19" i="3"/>
  <c r="B19" i="1" l="1"/>
  <c r="B23" i="1" s="1"/>
  <c r="C19" i="3"/>
  <c r="C23" i="3" s="1"/>
  <c r="C14" i="3" l="1"/>
  <c r="C13" i="3"/>
  <c r="C12" i="3"/>
  <c r="B14" i="3"/>
  <c r="B13" i="3"/>
  <c r="B12" i="3"/>
  <c r="B4" i="3"/>
  <c r="B4" i="1" s="1"/>
  <c r="C4" i="3"/>
  <c r="C4" i="1" s="1"/>
  <c r="B6" i="3" l="1"/>
  <c r="B11" i="3" s="1"/>
  <c r="C6" i="3" l="1"/>
  <c r="C11" i="3" s="1"/>
  <c r="I27" i="2" l="1"/>
  <c r="I26" i="2"/>
  <c r="I23" i="2" l="1"/>
  <c r="I24" i="2"/>
  <c r="B4" i="2" l="1"/>
  <c r="B5" i="2" l="1"/>
  <c r="C4" i="2"/>
  <c r="C5" i="2" l="1"/>
  <c r="C5" i="3" l="1"/>
  <c r="C7" i="3" s="1"/>
  <c r="B5" i="3"/>
  <c r="B7" i="3" s="1"/>
  <c r="C5" i="1" l="1"/>
  <c r="B5" i="1"/>
  <c r="B30" i="1" l="1"/>
  <c r="C30" i="1"/>
  <c r="B16" i="2" l="1"/>
  <c r="C16" i="2"/>
  <c r="E41" i="2"/>
  <c r="G41" i="2" l="1"/>
  <c r="F41" i="2"/>
  <c r="I41" i="2" s="1"/>
  <c r="C31" i="1" l="1"/>
  <c r="C6" i="1"/>
  <c r="B31" i="1"/>
  <c r="B6" i="1"/>
  <c r="C36" i="1" l="1"/>
  <c r="C32" i="1"/>
  <c r="B11" i="1"/>
  <c r="B7" i="1"/>
  <c r="B36" i="1"/>
  <c r="B32" i="1"/>
  <c r="C11" i="1"/>
  <c r="C7" i="1"/>
  <c r="B22" i="3" l="1"/>
  <c r="B23" i="3" s="1"/>
</calcChain>
</file>

<file path=xl/sharedStrings.xml><?xml version="1.0" encoding="utf-8"?>
<sst xmlns="http://schemas.openxmlformats.org/spreadsheetml/2006/main" count="111" uniqueCount="50">
  <si>
    <t>СПб</t>
  </si>
  <si>
    <t>ЛО</t>
  </si>
  <si>
    <t>файл адресных списков "МКД адреса.xlsx"</t>
  </si>
  <si>
    <t>Плановое количество установки шлюзов (из расчёта 1 дом - 1 шлюз)</t>
  </si>
  <si>
    <t>технология ZigBee (ПАСПОРТ ПРОЕКТА «Построение интеллектуальной системы учета ИСУ», стр.13)</t>
  </si>
  <si>
    <t>Плановое количество роутеров (усилителей сигнала для предварительного сбора информации от квартирных ПУ) (из расчёта 3 роутера на 1 шлюз)</t>
  </si>
  <si>
    <t>комментарий</t>
  </si>
  <si>
    <t>Плановое количество установки ОДПУ (из расчёта 1 дом - 2 ОДПУ) - по количеству технологических присоединений</t>
  </si>
  <si>
    <t>Итого объём НЕОБХОДИМОЙ установки роутеров на 2025-2027 годы</t>
  </si>
  <si>
    <t>Обоснование количественного объёма установки каналообразующего оборудования в течение 2025 - 2027 годов</t>
  </si>
  <si>
    <t>в том числе:</t>
  </si>
  <si>
    <t>однофазные ПУ</t>
  </si>
  <si>
    <t>трёхфазные ПУ</t>
  </si>
  <si>
    <t>файлы адресных списков "адрес_база ОСЭ.xlsx" и "свод ЕИРЦ.xlsx"</t>
  </si>
  <si>
    <t>Общее количество лицевых счётов в МКД на 15.03.2024, шт.</t>
  </si>
  <si>
    <t>плановый расчёт</t>
  </si>
  <si>
    <t>необходимое кол-во для установки</t>
  </si>
  <si>
    <t>сглаженный график установки</t>
  </si>
  <si>
    <t>Санкт-Петербург</t>
  </si>
  <si>
    <t>Ленинградская область</t>
  </si>
  <si>
    <t>Обоснование количественного объёма установки ОДПУ в течение 2025 - 2028 годов</t>
  </si>
  <si>
    <t>Общее количество МКД для установки ОДПУ 2020-2028 гг., шт.</t>
  </si>
  <si>
    <t>Установлено ОДПУ (прямого и косвенного включения) в течение 2021-2024 гг (факт)</t>
  </si>
  <si>
    <t>отчеты по ИП за 2021-2024 года</t>
  </si>
  <si>
    <t>Итого объём НЕОБХОДИМОЙ установки ОДПУ на 2025-2028 годы</t>
  </si>
  <si>
    <t>в т.ч. по годам</t>
  </si>
  <si>
    <t>файлы адресных списков "МКД адреса.xlsx"</t>
  </si>
  <si>
    <t>до сглаживания</t>
  </si>
  <si>
    <t>после сглаживания</t>
  </si>
  <si>
    <t>Установлено шлюзов в течение 2021-2024 гг (факт)</t>
  </si>
  <si>
    <t>Итого объём НЕОБХОДИМОЙ установки шлюзов на 2025-2028 годы</t>
  </si>
  <si>
    <t>отчёты по исполнению ИП 2021-2024 гг.</t>
  </si>
  <si>
    <t>Установленороутеров в течение 2021-2024 гг (факт)</t>
  </si>
  <si>
    <t>Обоснование количественного объёма установки  ПУ во встроенных помещениях в МКД и отдельно стоящих зданиях, запитанных от ГРЩ жилого дома, в течение 2025 - 2028 годов</t>
  </si>
  <si>
    <t>Общее количество 1-фазных ПУ, необходимое для установки</t>
  </si>
  <si>
    <t>Общее количество 3-фазных ПУ, необходимое для установки</t>
  </si>
  <si>
    <t>Файлы - расшифровки адресных списков</t>
  </si>
  <si>
    <t xml:space="preserve">1. "Встройки УРНП раскр.xlsx" - списки по непромышленным потребителям АО "Петербургская сбытовая компания" </t>
  </si>
  <si>
    <t xml:space="preserve">2. "Встройки УРБП раскр.xlsx" - списки по бюджетным потребителям АО "Петербургская сбытовая компания" </t>
  </si>
  <si>
    <t xml:space="preserve">3. "Встройки ОДРКП раскр.xlsx" - списки по крупным потребителям АО "Петербургская сбытовая компания" </t>
  </si>
  <si>
    <t>4. "Встройки ОКРЮЛ раскр.xlsx" - списки по потребителям АО "Петербургская сбытовая компания" в областных отделениях по сбыту электроэнергии</t>
  </si>
  <si>
    <t>Обоснование количественного объёма установки квартирных ПУ в течение 2025 - 2028 годов</t>
  </si>
  <si>
    <t>остаток от неустановленных ПУ за 2021-2024 года плюс новые адреса</t>
  </si>
  <si>
    <t>Плановое количество установки ПУ на 2024-2028 годы</t>
  </si>
  <si>
    <t>Установлено ПУ за 2024 год</t>
  </si>
  <si>
    <t>отчет по ИП за 2024 год</t>
  </si>
  <si>
    <t>Плановое количество установки ПУ  на 2025-2028 годы</t>
  </si>
  <si>
    <t>необходимое кол-во для установки Санкт-Петербург</t>
  </si>
  <si>
    <t>необходимое кол-во для установки Ленинградская область</t>
  </si>
  <si>
    <t>ИТОГО квартиры + встройка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</si>
</sst>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5" x14ac:knownFonts="1">
    <font>
      <sz val="11"/>
      <color theme="1"/>
      <name val="Calibri"/>
      <family val="2"/>
      <charset val="204"/>
    </font>
    <font>
      <b/>
      <i/>
      <sz val="11"/>
      <color theme="1"/>
      <name val="Calibri"/>
      <family val="2"/>
      <charset val="204"/>
    </font>
    <font>
      <i/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4" tint="-0.249977111117893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0" fontId="0" fillId="0" borderId="1" xfId="0" applyBorder="1" applyAlignment="1">
      <alignment horizontal="justify" vertical="center" wrapText="1"/>
    </xf>
    <xf numFmtId="164" fontId="0" fillId="0" borderId="1" xfId="0" applyNumberFormat="1" applyFill="1" applyBorder="1" applyAlignment="1">
      <alignment vertical="center"/>
    </xf>
    <xf numFmtId="0" fontId="0" fillId="0" borderId="1" xfId="0" applyBorder="1" applyAlignment="1">
      <alignment horizontal="right" vertical="center" wrapText="1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horizontal="center"/>
    </xf>
    <xf numFmtId="164" fontId="0" fillId="0" borderId="1" xfId="0" applyNumberFormat="1" applyBorder="1"/>
    <xf numFmtId="0" fontId="0" fillId="3" borderId="0" xfId="0" applyFill="1"/>
    <xf numFmtId="0" fontId="0" fillId="4" borderId="0" xfId="0" applyFill="1"/>
    <xf numFmtId="164" fontId="2" fillId="0" borderId="0" xfId="0" applyNumberFormat="1" applyFont="1"/>
    <xf numFmtId="0" fontId="0" fillId="0" borderId="4" xfId="0" applyBorder="1" applyAlignment="1">
      <alignment horizontal="right" vertical="center" wrapText="1"/>
    </xf>
    <xf numFmtId="164" fontId="0" fillId="4" borderId="1" xfId="0" applyNumberFormat="1" applyFill="1" applyBorder="1" applyAlignment="1">
      <alignment vertical="center"/>
    </xf>
    <xf numFmtId="164" fontId="0" fillId="0" borderId="0" xfId="0" applyNumberFormat="1"/>
    <xf numFmtId="0" fontId="0" fillId="0" borderId="0" xfId="0" applyAlignment="1">
      <alignment horizontal="center"/>
    </xf>
    <xf numFmtId="164" fontId="0" fillId="4" borderId="0" xfId="0" applyNumberFormat="1" applyFill="1"/>
    <xf numFmtId="164" fontId="0" fillId="5" borderId="0" xfId="0" applyNumberFormat="1" applyFill="1"/>
    <xf numFmtId="0" fontId="3" fillId="6" borderId="1" xfId="0" applyFont="1" applyFill="1" applyBorder="1"/>
    <xf numFmtId="0" fontId="0" fillId="0" borderId="1" xfId="0" applyBorder="1"/>
    <xf numFmtId="0" fontId="0" fillId="3" borderId="1" xfId="0" applyFill="1" applyBorder="1" applyAlignment="1">
      <alignment vertical="center"/>
    </xf>
    <xf numFmtId="164" fontId="2" fillId="2" borderId="1" xfId="0" applyNumberFormat="1" applyFont="1" applyFill="1" applyBorder="1" applyAlignment="1">
      <alignment vertical="center"/>
    </xf>
    <xf numFmtId="0" fontId="0" fillId="0" borderId="0" xfId="0" applyBorder="1" applyAlignment="1">
      <alignment horizontal="right" vertical="center" wrapText="1"/>
    </xf>
    <xf numFmtId="164" fontId="0" fillId="0" borderId="0" xfId="0" applyNumberForma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4" borderId="1" xfId="0" applyFill="1" applyBorder="1"/>
    <xf numFmtId="0" fontId="4" fillId="7" borderId="0" xfId="0" applyFont="1" applyFill="1"/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2;&#1076;&#1088;&#1077;&#1089;_&#1073;&#1072;&#1079;&#1072;%20&#1054;&#1057;&#1069;%20&#1073;&#1099;&#1090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8;&#1072;&#1089;&#1095;&#1105;&#1090;%20&#1048;&#1057;&#1059;%20&#1087;&#1086;%20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9;&#1074;&#1086;&#1076;%20&#1045;&#1048;&#1056;&#1062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1;&#1071;%20&#1056;&#1069;&#1050;/&#1048;&#1085;&#1074;&#1077;&#1089;&#1090;&#1080;&#1094;&#1080;&#1080;/2024/&#1092;&#1072;&#1082;&#1090;/&#1048;&#1057;&#1059;%20&#1092;&#1072;&#1082;&#1090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8;&#1072;&#1089;&#1095;&#1105;&#1090;%20&#1048;&#1057;&#1059;%202025_2028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4;&#1089;&#1090;&#1088;&#1086;&#1081;&#1082;&#1072;/&#1042;&#1089;&#1090;&#1088;&#1086;&#1081;&#1082;&#1080;%20&#1059;&#1056;&#1053;&#1055;%20&#1088;&#1072;&#1089;&#1082;&#1088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4;&#1089;&#1090;&#1088;&#1086;&#1081;&#1082;&#1072;/&#1042;&#1089;&#1090;&#1088;&#1086;&#1081;&#1082;&#1080;%20&#1059;&#1056;&#1041;&#1055;%20&#1088;&#1072;&#1089;&#1082;&#1088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4;&#1089;&#1090;&#1088;&#1086;&#1081;&#1082;&#1072;/&#1042;&#1089;&#1090;&#1088;&#1086;&#1081;&#1082;&#1080;%20&#1054;&#1044;&#1056;&#1050;&#1055;%20&#1088;&#1072;&#1089;&#1082;&#1088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4;&#1089;&#1090;&#1088;&#1086;&#1081;&#1082;&#1072;/&#1042;&#1089;&#1090;&#1088;&#1086;&#1081;&#1082;&#1080;%20&#1054;&#1050;&#1056;&#1070;&#1051;%20&#1088;&#1072;&#1089;&#1082;&#1088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50;&#1044;%20&#1072;&#1076;&#1088;&#1077;&#1089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база"/>
    </sheetNames>
    <sheetDataSet>
      <sheetData sheetId="0">
        <row r="61">
          <cell r="V61">
            <v>340757</v>
          </cell>
        </row>
        <row r="62">
          <cell r="B62">
            <v>10571</v>
          </cell>
          <cell r="C62">
            <v>1067</v>
          </cell>
          <cell r="D62">
            <v>2887</v>
          </cell>
          <cell r="E62">
            <v>3030</v>
          </cell>
          <cell r="F62">
            <v>7507</v>
          </cell>
          <cell r="G62">
            <v>7684</v>
          </cell>
          <cell r="H62">
            <v>11313</v>
          </cell>
          <cell r="I62">
            <v>11457</v>
          </cell>
          <cell r="J62">
            <v>17713</v>
          </cell>
        </row>
        <row r="63">
          <cell r="B63">
            <v>64</v>
          </cell>
          <cell r="C63">
            <v>14</v>
          </cell>
          <cell r="D63">
            <v>38</v>
          </cell>
          <cell r="E63">
            <v>53</v>
          </cell>
          <cell r="F63">
            <v>61</v>
          </cell>
          <cell r="G63">
            <v>40</v>
          </cell>
          <cell r="H63">
            <v>197</v>
          </cell>
          <cell r="I63">
            <v>137</v>
          </cell>
          <cell r="J63">
            <v>270</v>
          </cell>
        </row>
        <row r="64">
          <cell r="V64">
            <v>54816</v>
          </cell>
        </row>
        <row r="65">
          <cell r="B65">
            <v>1503</v>
          </cell>
          <cell r="C65">
            <v>174</v>
          </cell>
          <cell r="D65">
            <v>409</v>
          </cell>
          <cell r="E65">
            <v>400</v>
          </cell>
          <cell r="F65">
            <v>468</v>
          </cell>
          <cell r="G65">
            <v>864</v>
          </cell>
          <cell r="H65">
            <v>1316</v>
          </cell>
          <cell r="I65">
            <v>1101</v>
          </cell>
          <cell r="J65">
            <v>3074</v>
          </cell>
        </row>
        <row r="66">
          <cell r="B66">
            <v>22</v>
          </cell>
          <cell r="C66">
            <v>11</v>
          </cell>
          <cell r="D66">
            <v>29</v>
          </cell>
          <cell r="E66">
            <v>16</v>
          </cell>
          <cell r="F66">
            <v>15</v>
          </cell>
          <cell r="G66">
            <v>19</v>
          </cell>
          <cell r="H66">
            <v>30</v>
          </cell>
          <cell r="I66">
            <v>23</v>
          </cell>
          <cell r="J66">
            <v>32</v>
          </cell>
        </row>
      </sheetData>
      <sheetData sheetId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основания СПб"/>
      <sheetName val="обоснования ЛО"/>
      <sheetName val="свод"/>
    </sheetNames>
    <sheetDataSet>
      <sheetData sheetId="0"/>
      <sheetData sheetId="1"/>
      <sheetData sheetId="2">
        <row r="4">
          <cell r="AC4">
            <v>434150</v>
          </cell>
        </row>
        <row r="7">
          <cell r="AC7">
            <v>16863</v>
          </cell>
        </row>
        <row r="8">
          <cell r="AC8">
            <v>940</v>
          </cell>
        </row>
        <row r="22">
          <cell r="AC22">
            <v>2395</v>
          </cell>
        </row>
        <row r="23">
          <cell r="AC23">
            <v>558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22">
          <cell r="B22">
            <v>133932</v>
          </cell>
          <cell r="C22">
            <v>47391</v>
          </cell>
          <cell r="D22">
            <v>85720</v>
          </cell>
          <cell r="E22">
            <v>64591</v>
          </cell>
          <cell r="F22">
            <v>125523</v>
          </cell>
          <cell r="G22">
            <v>2477204</v>
          </cell>
        </row>
        <row r="43">
          <cell r="B43">
            <v>1256</v>
          </cell>
          <cell r="C43">
            <v>1068</v>
          </cell>
          <cell r="D43">
            <v>163</v>
          </cell>
          <cell r="E43">
            <v>94</v>
          </cell>
          <cell r="F43">
            <v>70</v>
          </cell>
          <cell r="G43">
            <v>3771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по ТСН-2001"/>
      <sheetName val="1кв"/>
      <sheetName val="пг"/>
      <sheetName val="9мес"/>
      <sheetName val="год"/>
      <sheetName val="Source"/>
      <sheetName val="SourceObSm"/>
      <sheetName val="SmtRes"/>
      <sheetName val="EtalonRes"/>
    </sheetNames>
    <sheetDataSet>
      <sheetData sheetId="0"/>
      <sheetData sheetId="1"/>
      <sheetData sheetId="2"/>
      <sheetData sheetId="3"/>
      <sheetData sheetId="4">
        <row r="77">
          <cell r="B77">
            <v>64351</v>
          </cell>
          <cell r="D77">
            <v>10224</v>
          </cell>
        </row>
        <row r="78">
          <cell r="B78">
            <v>2335</v>
          </cell>
          <cell r="D78">
            <v>61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</sheetNames>
    <sheetDataSet>
      <sheetData sheetId="0">
        <row r="4">
          <cell r="H4">
            <v>79194</v>
          </cell>
          <cell r="N4">
            <v>127650</v>
          </cell>
        </row>
        <row r="6">
          <cell r="H6">
            <v>3562</v>
          </cell>
          <cell r="N6">
            <v>2045</v>
          </cell>
          <cell r="T6">
            <v>2028</v>
          </cell>
        </row>
        <row r="7">
          <cell r="H7">
            <v>7383</v>
          </cell>
          <cell r="N7">
            <v>5700</v>
          </cell>
          <cell r="T7">
            <v>5178</v>
          </cell>
          <cell r="Z7">
            <v>4574</v>
          </cell>
        </row>
        <row r="8">
          <cell r="H8">
            <v>341</v>
          </cell>
          <cell r="N8">
            <v>319</v>
          </cell>
          <cell r="T8">
            <v>498</v>
          </cell>
          <cell r="Z8">
            <v>500</v>
          </cell>
        </row>
        <row r="9">
          <cell r="B9">
            <v>7683</v>
          </cell>
          <cell r="H9">
            <v>4613</v>
          </cell>
          <cell r="N9">
            <v>1868</v>
          </cell>
          <cell r="T9">
            <v>6900</v>
          </cell>
          <cell r="Z9">
            <v>84</v>
          </cell>
        </row>
        <row r="10">
          <cell r="B10">
            <v>33237</v>
          </cell>
          <cell r="H10">
            <v>13833</v>
          </cell>
          <cell r="N10">
            <v>5604</v>
          </cell>
          <cell r="T10">
            <v>10518</v>
          </cell>
          <cell r="Z10">
            <v>252</v>
          </cell>
        </row>
        <row r="20">
          <cell r="H20">
            <v>13905</v>
          </cell>
          <cell r="N20">
            <v>14024</v>
          </cell>
          <cell r="T20">
            <v>14178</v>
          </cell>
        </row>
        <row r="21">
          <cell r="H21">
            <v>277</v>
          </cell>
          <cell r="N21">
            <v>377</v>
          </cell>
        </row>
        <row r="22">
          <cell r="H22">
            <v>1478</v>
          </cell>
          <cell r="N22">
            <v>2128</v>
          </cell>
          <cell r="T22">
            <v>1745</v>
          </cell>
          <cell r="Z22">
            <v>2361</v>
          </cell>
        </row>
        <row r="23">
          <cell r="H23">
            <v>44</v>
          </cell>
          <cell r="N23">
            <v>153</v>
          </cell>
          <cell r="T23">
            <v>152</v>
          </cell>
          <cell r="Z23">
            <v>214</v>
          </cell>
        </row>
        <row r="24">
          <cell r="B24">
            <v>1162</v>
          </cell>
          <cell r="H24">
            <v>1145</v>
          </cell>
          <cell r="N24">
            <v>937</v>
          </cell>
          <cell r="T24">
            <v>987</v>
          </cell>
          <cell r="Z24">
            <v>250</v>
          </cell>
        </row>
        <row r="25">
          <cell r="B25">
            <v>3999</v>
          </cell>
          <cell r="H25">
            <v>4291</v>
          </cell>
          <cell r="N25">
            <v>2311</v>
          </cell>
          <cell r="T25">
            <v>2261</v>
          </cell>
          <cell r="Z25">
            <v>1400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база"/>
    </sheetNames>
    <sheetDataSet>
      <sheetData sheetId="0">
        <row r="5">
          <cell r="B5">
            <v>649</v>
          </cell>
          <cell r="C5">
            <v>71</v>
          </cell>
          <cell r="D5">
            <v>186</v>
          </cell>
          <cell r="E5">
            <v>395</v>
          </cell>
          <cell r="F5">
            <v>281</v>
          </cell>
          <cell r="G5">
            <v>408</v>
          </cell>
          <cell r="H5">
            <v>555</v>
          </cell>
          <cell r="I5">
            <v>703</v>
          </cell>
          <cell r="J5">
            <v>1270</v>
          </cell>
          <cell r="K5">
            <v>51</v>
          </cell>
          <cell r="L5">
            <v>7</v>
          </cell>
          <cell r="M5">
            <v>3</v>
          </cell>
          <cell r="N5">
            <v>1</v>
          </cell>
          <cell r="O5">
            <v>10</v>
          </cell>
          <cell r="P5">
            <v>9</v>
          </cell>
        </row>
        <row r="6">
          <cell r="B6">
            <v>736</v>
          </cell>
          <cell r="C6">
            <v>89</v>
          </cell>
          <cell r="D6">
            <v>165</v>
          </cell>
          <cell r="E6">
            <v>241</v>
          </cell>
          <cell r="F6">
            <v>627</v>
          </cell>
          <cell r="G6">
            <v>1126</v>
          </cell>
          <cell r="H6">
            <v>1589</v>
          </cell>
          <cell r="I6">
            <v>1714</v>
          </cell>
          <cell r="J6">
            <v>2110</v>
          </cell>
          <cell r="K6">
            <v>47</v>
          </cell>
          <cell r="L6">
            <v>4</v>
          </cell>
          <cell r="M6">
            <v>6</v>
          </cell>
          <cell r="N6">
            <v>4</v>
          </cell>
          <cell r="P6">
            <v>3</v>
          </cell>
        </row>
      </sheetData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база"/>
    </sheetNames>
    <sheetDataSet>
      <sheetData sheetId="0">
        <row r="5">
          <cell r="B5">
            <v>7</v>
          </cell>
          <cell r="C5">
            <v>2</v>
          </cell>
          <cell r="D5">
            <v>6</v>
          </cell>
          <cell r="E5">
            <v>16</v>
          </cell>
          <cell r="F5">
            <v>10</v>
          </cell>
          <cell r="G5">
            <v>14</v>
          </cell>
          <cell r="H5">
            <v>22</v>
          </cell>
          <cell r="I5">
            <v>32</v>
          </cell>
          <cell r="J5">
            <v>40</v>
          </cell>
          <cell r="K5">
            <v>1</v>
          </cell>
        </row>
        <row r="6">
          <cell r="B6">
            <v>35</v>
          </cell>
          <cell r="C6">
            <v>5</v>
          </cell>
          <cell r="D6">
            <v>6</v>
          </cell>
          <cell r="E6">
            <v>11</v>
          </cell>
          <cell r="F6">
            <v>34</v>
          </cell>
          <cell r="G6">
            <v>98</v>
          </cell>
          <cell r="H6">
            <v>111</v>
          </cell>
          <cell r="I6">
            <v>92</v>
          </cell>
          <cell r="J6">
            <v>105</v>
          </cell>
          <cell r="L6">
            <v>1</v>
          </cell>
          <cell r="M6">
            <v>1</v>
          </cell>
          <cell r="N6">
            <v>1</v>
          </cell>
        </row>
      </sheetData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база"/>
    </sheetNames>
    <sheetDataSet>
      <sheetData sheetId="0">
        <row r="5">
          <cell r="B5">
            <v>3</v>
          </cell>
          <cell r="C5">
            <v>1</v>
          </cell>
          <cell r="E5">
            <v>5</v>
          </cell>
          <cell r="F5">
            <v>1</v>
          </cell>
          <cell r="G5">
            <v>3</v>
          </cell>
          <cell r="H5">
            <v>3</v>
          </cell>
          <cell r="I5">
            <v>450</v>
          </cell>
          <cell r="J5">
            <v>5</v>
          </cell>
        </row>
        <row r="6">
          <cell r="B6">
            <v>3</v>
          </cell>
          <cell r="C6">
            <v>1</v>
          </cell>
          <cell r="D6">
            <v>5</v>
          </cell>
          <cell r="E6">
            <v>27</v>
          </cell>
          <cell r="F6">
            <v>34</v>
          </cell>
          <cell r="G6">
            <v>71</v>
          </cell>
          <cell r="H6">
            <v>73</v>
          </cell>
          <cell r="I6">
            <v>37</v>
          </cell>
          <cell r="J6">
            <v>50</v>
          </cell>
        </row>
      </sheetData>
      <sheetData sheetId="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ЛО"/>
    </sheetNames>
    <sheetDataSet>
      <sheetData sheetId="0">
        <row r="567">
          <cell r="H567">
            <v>9</v>
          </cell>
          <cell r="I567">
            <v>2</v>
          </cell>
          <cell r="J567">
            <v>4</v>
          </cell>
          <cell r="K567">
            <v>3</v>
          </cell>
          <cell r="L567">
            <v>7</v>
          </cell>
          <cell r="M567">
            <v>17</v>
          </cell>
          <cell r="N567">
            <v>23</v>
          </cell>
          <cell r="O567">
            <v>23</v>
          </cell>
          <cell r="P567">
            <v>5</v>
          </cell>
        </row>
        <row r="568">
          <cell r="H568">
            <v>33</v>
          </cell>
          <cell r="I568">
            <v>11</v>
          </cell>
          <cell r="J568">
            <v>5</v>
          </cell>
          <cell r="K568">
            <v>21</v>
          </cell>
          <cell r="L568">
            <v>25</v>
          </cell>
          <cell r="M568">
            <v>52</v>
          </cell>
          <cell r="N568">
            <v>79</v>
          </cell>
          <cell r="O568">
            <v>68</v>
          </cell>
          <cell r="P568">
            <v>55</v>
          </cell>
          <cell r="Q568">
            <v>5</v>
          </cell>
          <cell r="R568">
            <v>8</v>
          </cell>
          <cell r="S568">
            <v>8</v>
          </cell>
          <cell r="T568">
            <v>3</v>
          </cell>
          <cell r="U568">
            <v>10</v>
          </cell>
          <cell r="V568">
            <v>12</v>
          </cell>
        </row>
      </sheetData>
      <sheetData sheetId="1">
        <row r="459">
          <cell r="H459">
            <v>5</v>
          </cell>
          <cell r="J459">
            <v>6</v>
          </cell>
          <cell r="K459">
            <v>6</v>
          </cell>
          <cell r="L459">
            <v>4</v>
          </cell>
          <cell r="M459">
            <v>6</v>
          </cell>
          <cell r="N459">
            <v>12</v>
          </cell>
          <cell r="O459">
            <v>25</v>
          </cell>
          <cell r="P459">
            <v>11</v>
          </cell>
        </row>
        <row r="460">
          <cell r="H460">
            <v>13</v>
          </cell>
          <cell r="I460">
            <v>4</v>
          </cell>
          <cell r="J460">
            <v>2</v>
          </cell>
          <cell r="K460">
            <v>13</v>
          </cell>
          <cell r="L460">
            <v>35</v>
          </cell>
          <cell r="M460">
            <v>28</v>
          </cell>
          <cell r="N460">
            <v>73</v>
          </cell>
          <cell r="O460">
            <v>58</v>
          </cell>
          <cell r="P460">
            <v>46</v>
          </cell>
          <cell r="Q460">
            <v>5</v>
          </cell>
          <cell r="R460">
            <v>1</v>
          </cell>
          <cell r="S460">
            <v>9</v>
          </cell>
          <cell r="T460">
            <v>14</v>
          </cell>
          <cell r="U460">
            <v>14</v>
          </cell>
          <cell r="V460">
            <v>23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РБП"/>
      <sheetName val="УРНП"/>
      <sheetName val="УРКП"/>
      <sheetName val="ОСЭ"/>
      <sheetName val="свод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C3">
            <v>20334</v>
          </cell>
          <cell r="D3">
            <v>96</v>
          </cell>
          <cell r="E3">
            <v>74</v>
          </cell>
          <cell r="F3">
            <v>124</v>
          </cell>
          <cell r="G3">
            <v>85</v>
          </cell>
          <cell r="H3">
            <v>121</v>
          </cell>
          <cell r="I3">
            <v>125</v>
          </cell>
          <cell r="J3">
            <v>105</v>
          </cell>
          <cell r="K3">
            <v>84</v>
          </cell>
        </row>
        <row r="4">
          <cell r="C4">
            <v>5073</v>
          </cell>
          <cell r="D4">
            <v>49</v>
          </cell>
          <cell r="E4">
            <v>94</v>
          </cell>
          <cell r="F4">
            <v>107</v>
          </cell>
          <cell r="G4">
            <v>76</v>
          </cell>
          <cell r="H4">
            <v>85</v>
          </cell>
          <cell r="I4">
            <v>41</v>
          </cell>
          <cell r="J4">
            <v>50</v>
          </cell>
          <cell r="K4">
            <v>39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1A848F-D09E-4F2E-951A-17902B17BA1D}">
  <dimension ref="A1:I52"/>
  <sheetViews>
    <sheetView tabSelected="1" workbookViewId="0">
      <selection activeCell="B8" sqref="B8"/>
    </sheetView>
  </sheetViews>
  <sheetFormatPr defaultRowHeight="15" x14ac:dyDescent="0.25"/>
  <cols>
    <col min="1" max="1" width="63.5703125" customWidth="1"/>
    <col min="2" max="2" width="13.85546875" customWidth="1"/>
    <col min="3" max="3" width="12" customWidth="1"/>
    <col min="4" max="4" width="94.85546875" customWidth="1"/>
  </cols>
  <sheetData>
    <row r="1" spans="1:4" x14ac:dyDescent="0.25">
      <c r="A1" s="38" t="s">
        <v>41</v>
      </c>
      <c r="B1" s="38"/>
      <c r="C1" s="38"/>
      <c r="D1" s="38"/>
    </row>
    <row r="2" spans="1:4" x14ac:dyDescent="0.25">
      <c r="A2" s="1"/>
      <c r="B2" s="1"/>
      <c r="C2" s="1"/>
      <c r="D2" s="1"/>
    </row>
    <row r="3" spans="1:4" x14ac:dyDescent="0.25">
      <c r="A3" s="3"/>
      <c r="B3" s="4" t="s">
        <v>0</v>
      </c>
      <c r="C3" s="4" t="s">
        <v>1</v>
      </c>
      <c r="D3" s="4" t="s">
        <v>6</v>
      </c>
    </row>
    <row r="4" spans="1:4" x14ac:dyDescent="0.25">
      <c r="A4" s="10" t="s">
        <v>14</v>
      </c>
      <c r="B4" s="8">
        <f>[1]свод!$V$64+[2]Лист1!$G$22+[2]Лист1!$G$43</f>
        <v>2535791</v>
      </c>
      <c r="C4" s="8">
        <f>[1]свод!$V$61</f>
        <v>340757</v>
      </c>
      <c r="D4" s="3" t="s">
        <v>13</v>
      </c>
    </row>
    <row r="5" spans="1:4" x14ac:dyDescent="0.25">
      <c r="A5" s="7" t="s">
        <v>43</v>
      </c>
      <c r="B5" s="8">
        <f>B7+B8</f>
        <v>469314</v>
      </c>
      <c r="C5" s="8">
        <f>C7+C8</f>
        <v>74103</v>
      </c>
      <c r="D5" s="3" t="s">
        <v>42</v>
      </c>
    </row>
    <row r="6" spans="1:4" x14ac:dyDescent="0.25">
      <c r="A6" s="7" t="s">
        <v>10</v>
      </c>
      <c r="B6" s="8"/>
      <c r="C6" s="5"/>
      <c r="D6" s="3"/>
    </row>
    <row r="7" spans="1:4" x14ac:dyDescent="0.25">
      <c r="A7" s="9" t="s">
        <v>11</v>
      </c>
      <c r="B7" s="8">
        <f>SUM([1]свод!$B65:$J65)+SUM([2]Лист1!$B$22:$F$22)</f>
        <v>466466</v>
      </c>
      <c r="C7" s="5">
        <f>SUM([1]свод!$B62:$J62)</f>
        <v>73229</v>
      </c>
      <c r="D7" s="39" t="s">
        <v>13</v>
      </c>
    </row>
    <row r="8" spans="1:4" x14ac:dyDescent="0.25">
      <c r="A8" s="9" t="s">
        <v>12</v>
      </c>
      <c r="B8" s="8">
        <f>SUM([1]свод!$B66:$J66)+SUM([2]Лист1!$B$43:$F$43)</f>
        <v>2848</v>
      </c>
      <c r="C8" s="5">
        <f>SUM([1]свод!$B63:$J63)</f>
        <v>874</v>
      </c>
      <c r="D8" s="40"/>
    </row>
    <row r="10" spans="1:4" x14ac:dyDescent="0.25">
      <c r="A10" s="23" t="s">
        <v>44</v>
      </c>
      <c r="B10" s="23"/>
      <c r="C10" s="23"/>
      <c r="D10" s="23"/>
    </row>
    <row r="11" spans="1:4" x14ac:dyDescent="0.25">
      <c r="A11" s="9" t="s">
        <v>11</v>
      </c>
      <c r="B11" s="8">
        <f>[3]год!$B$77</f>
        <v>64351</v>
      </c>
      <c r="C11" s="5">
        <f>[3]год!$D$77</f>
        <v>10224</v>
      </c>
      <c r="D11" s="39" t="s">
        <v>45</v>
      </c>
    </row>
    <row r="12" spans="1:4" x14ac:dyDescent="0.25">
      <c r="A12" s="9" t="s">
        <v>12</v>
      </c>
      <c r="B12" s="8">
        <f>[3]год!$B$78</f>
        <v>2335</v>
      </c>
      <c r="C12" s="5">
        <f>[3]год!$D$78</f>
        <v>61</v>
      </c>
      <c r="D12" s="40"/>
    </row>
    <row r="16" spans="1:4" x14ac:dyDescent="0.25">
      <c r="A16" s="7" t="s">
        <v>46</v>
      </c>
      <c r="B16" s="25">
        <f>SUM(B18:B19)</f>
        <v>402628</v>
      </c>
      <c r="C16" s="25">
        <f>SUM(C18:C19)</f>
        <v>63818</v>
      </c>
      <c r="D16" s="3"/>
    </row>
    <row r="17" spans="1:9" x14ac:dyDescent="0.25">
      <c r="A17" s="7" t="s">
        <v>10</v>
      </c>
      <c r="B17" s="8"/>
      <c r="C17" s="5"/>
      <c r="D17" s="3"/>
    </row>
    <row r="18" spans="1:9" x14ac:dyDescent="0.25">
      <c r="A18" s="9" t="s">
        <v>11</v>
      </c>
      <c r="B18" s="8">
        <f>B7-B11</f>
        <v>402115</v>
      </c>
      <c r="C18" s="8">
        <f>C7-C11</f>
        <v>63005</v>
      </c>
      <c r="D18" s="3"/>
    </row>
    <row r="19" spans="1:9" x14ac:dyDescent="0.25">
      <c r="A19" s="9" t="s">
        <v>12</v>
      </c>
      <c r="B19" s="8">
        <f>B8-B12</f>
        <v>513</v>
      </c>
      <c r="C19" s="8">
        <f>C8-C12</f>
        <v>813</v>
      </c>
      <c r="D19" s="3"/>
    </row>
    <row r="20" spans="1:9" x14ac:dyDescent="0.25">
      <c r="A20" s="26"/>
      <c r="B20" s="27"/>
      <c r="C20" s="27"/>
      <c r="D20" s="28"/>
    </row>
    <row r="21" spans="1:9" x14ac:dyDescent="0.25">
      <c r="A21" s="26"/>
      <c r="B21" s="27"/>
      <c r="C21" s="27"/>
      <c r="D21" s="28"/>
    </row>
    <row r="22" spans="1:9" x14ac:dyDescent="0.25">
      <c r="D22" s="13" t="s">
        <v>16</v>
      </c>
      <c r="E22" s="11">
        <v>2025</v>
      </c>
      <c r="F22" s="11">
        <v>2026</v>
      </c>
      <c r="G22" s="11">
        <v>2027</v>
      </c>
      <c r="H22" s="11">
        <v>2028</v>
      </c>
    </row>
    <row r="23" spans="1:9" x14ac:dyDescent="0.25">
      <c r="B23" s="31" t="s">
        <v>18</v>
      </c>
      <c r="C23" s="32"/>
      <c r="D23" s="16" t="s">
        <v>11</v>
      </c>
      <c r="E23" s="12">
        <f>SUM([1]свод!$B$65:$G$65)+SUM([2]Лист1!$B$22:$C$22)-B11</f>
        <v>120790</v>
      </c>
      <c r="F23" s="12">
        <f>[1]свод!H$65+[2]Лист1!D$22</f>
        <v>87036</v>
      </c>
      <c r="G23" s="12">
        <f>[1]свод!I$65+[2]Лист1!E$22</f>
        <v>65692</v>
      </c>
      <c r="H23" s="12">
        <f>[1]свод!J$65+[2]Лист1!F$22</f>
        <v>128597</v>
      </c>
      <c r="I23" s="15">
        <f>SUM(E23:H23)</f>
        <v>402115</v>
      </c>
    </row>
    <row r="24" spans="1:9" x14ac:dyDescent="0.25">
      <c r="B24" s="33"/>
      <c r="C24" s="34"/>
      <c r="D24" s="16" t="s">
        <v>12</v>
      </c>
      <c r="E24" s="12">
        <f>SUM([1]свод!$B$66:$G$66)+SUM([2]Лист1!$B$43:$C$43)-B12</f>
        <v>101</v>
      </c>
      <c r="F24" s="12">
        <f>[1]свод!H$66+[2]Лист1!D$43</f>
        <v>193</v>
      </c>
      <c r="G24" s="12">
        <f>[1]свод!I$66+[2]Лист1!E$43</f>
        <v>117</v>
      </c>
      <c r="H24" s="12">
        <f>[1]свод!J$66+[2]Лист1!F$43</f>
        <v>102</v>
      </c>
      <c r="I24" s="15">
        <f>SUM(E24:H24)</f>
        <v>513</v>
      </c>
    </row>
    <row r="25" spans="1:9" x14ac:dyDescent="0.25">
      <c r="B25" s="33"/>
      <c r="C25" s="34"/>
    </row>
    <row r="26" spans="1:9" x14ac:dyDescent="0.25">
      <c r="B26" s="31" t="s">
        <v>19</v>
      </c>
      <c r="C26" s="32"/>
      <c r="D26" s="16" t="s">
        <v>11</v>
      </c>
      <c r="E26" s="12">
        <f>SUM([1]свод!$B$62:$G$62)-C11</f>
        <v>22522</v>
      </c>
      <c r="F26" s="12">
        <f>[1]свод!H$62</f>
        <v>11313</v>
      </c>
      <c r="G26" s="12">
        <f>[1]свод!I$62</f>
        <v>11457</v>
      </c>
      <c r="H26" s="12">
        <f>[1]свод!J$62</f>
        <v>17713</v>
      </c>
      <c r="I26" s="15">
        <f>SUM(E26:H26)</f>
        <v>63005</v>
      </c>
    </row>
    <row r="27" spans="1:9" x14ac:dyDescent="0.25">
      <c r="B27" s="35"/>
      <c r="C27" s="36"/>
      <c r="D27" s="16" t="s">
        <v>12</v>
      </c>
      <c r="E27" s="12">
        <f>SUM([1]свод!$B$63:$G$63)-C12</f>
        <v>209</v>
      </c>
      <c r="F27" s="12">
        <f>[1]свод!H$63</f>
        <v>197</v>
      </c>
      <c r="G27" s="12">
        <f>[1]свод!I$63</f>
        <v>137</v>
      </c>
      <c r="H27" s="12">
        <f>[1]свод!J$63</f>
        <v>270</v>
      </c>
      <c r="I27" s="15">
        <f>SUM(E27:H27)</f>
        <v>813</v>
      </c>
    </row>
    <row r="34" spans="1:9" ht="18.75" x14ac:dyDescent="0.3">
      <c r="A34" s="30" t="s">
        <v>49</v>
      </c>
      <c r="D34" s="13" t="s">
        <v>16</v>
      </c>
      <c r="E34" s="11">
        <v>2025</v>
      </c>
      <c r="F34" s="11">
        <v>2026</v>
      </c>
      <c r="G34" s="11">
        <v>2027</v>
      </c>
      <c r="H34" s="11">
        <v>2028</v>
      </c>
    </row>
    <row r="35" spans="1:9" x14ac:dyDescent="0.25">
      <c r="B35" s="31" t="s">
        <v>18</v>
      </c>
      <c r="C35" s="32"/>
      <c r="D35" s="16" t="s">
        <v>11</v>
      </c>
      <c r="E35" s="12">
        <f>E23+встройка!B21</f>
        <v>122890</v>
      </c>
      <c r="F35" s="12">
        <f>F23+встройка!C21</f>
        <v>87639</v>
      </c>
      <c r="G35" s="12">
        <f>G23+встройка!D21</f>
        <v>66900</v>
      </c>
      <c r="H35" s="12">
        <f>H23+встройка!E21</f>
        <v>129917</v>
      </c>
      <c r="I35" s="15">
        <f>SUM(E35:H35)</f>
        <v>407346</v>
      </c>
    </row>
    <row r="36" spans="1:9" x14ac:dyDescent="0.25">
      <c r="B36" s="33"/>
      <c r="C36" s="34"/>
      <c r="D36" s="16" t="s">
        <v>12</v>
      </c>
      <c r="E36" s="12">
        <f>E24+встройка!B22</f>
        <v>3562</v>
      </c>
      <c r="F36" s="12">
        <f>F24+встройка!C22</f>
        <v>2045</v>
      </c>
      <c r="G36" s="12">
        <f>G24+встройка!D22</f>
        <v>2028</v>
      </c>
      <c r="H36" s="12">
        <f>H24+встройка!E22</f>
        <v>2422</v>
      </c>
      <c r="I36" s="15">
        <f>SUM(E36:H36)</f>
        <v>10057</v>
      </c>
    </row>
    <row r="37" spans="1:9" x14ac:dyDescent="0.25">
      <c r="B37" s="33"/>
      <c r="C37" s="34"/>
    </row>
    <row r="38" spans="1:9" x14ac:dyDescent="0.25">
      <c r="B38" s="33"/>
      <c r="C38" s="34"/>
    </row>
    <row r="39" spans="1:9" x14ac:dyDescent="0.25">
      <c r="B39" s="33"/>
      <c r="C39" s="34"/>
      <c r="D39" s="14" t="s">
        <v>17</v>
      </c>
      <c r="E39" s="11">
        <v>2025</v>
      </c>
      <c r="F39" s="11">
        <v>2026</v>
      </c>
      <c r="G39" s="11">
        <v>2027</v>
      </c>
      <c r="H39" s="11">
        <v>2028</v>
      </c>
    </row>
    <row r="40" spans="1:9" x14ac:dyDescent="0.25">
      <c r="B40" s="33"/>
      <c r="C40" s="34"/>
      <c r="D40" s="16" t="s">
        <v>11</v>
      </c>
      <c r="E40" s="12">
        <f>[4]свод!$H$4</f>
        <v>79194</v>
      </c>
      <c r="F40" s="12">
        <f>[4]свод!$N$4</f>
        <v>127650</v>
      </c>
      <c r="G40" s="12">
        <f>SUM(E35:G35)-E40-F40</f>
        <v>70585</v>
      </c>
      <c r="H40" s="12">
        <f>H35</f>
        <v>129917</v>
      </c>
      <c r="I40" s="15">
        <f>SUM(E40:H40)</f>
        <v>407346</v>
      </c>
    </row>
    <row r="41" spans="1:9" x14ac:dyDescent="0.25">
      <c r="B41" s="35"/>
      <c r="C41" s="36"/>
      <c r="D41" s="16" t="s">
        <v>12</v>
      </c>
      <c r="E41" s="12">
        <f>[4]свод!$H$6</f>
        <v>3562</v>
      </c>
      <c r="F41" s="12">
        <f>[4]свод!$N$6</f>
        <v>2045</v>
      </c>
      <c r="G41" s="12">
        <f>[4]свод!$T$6</f>
        <v>2028</v>
      </c>
      <c r="H41" s="12">
        <f>H36</f>
        <v>2422</v>
      </c>
      <c r="I41" s="15">
        <f>SUM(E41:H41)</f>
        <v>10057</v>
      </c>
    </row>
    <row r="45" spans="1:9" x14ac:dyDescent="0.25">
      <c r="D45" s="13" t="s">
        <v>16</v>
      </c>
      <c r="E45" s="11">
        <v>2025</v>
      </c>
      <c r="F45" s="11">
        <v>2026</v>
      </c>
      <c r="G45" s="11">
        <v>2027</v>
      </c>
      <c r="H45" s="11">
        <v>2028</v>
      </c>
    </row>
    <row r="46" spans="1:9" x14ac:dyDescent="0.25">
      <c r="B46" s="37" t="s">
        <v>19</v>
      </c>
      <c r="C46" s="37"/>
      <c r="D46" s="16" t="s">
        <v>11</v>
      </c>
      <c r="E46" s="12">
        <f>E26+встройка!B25</f>
        <v>22549</v>
      </c>
      <c r="F46" s="12">
        <f>F26+встройка!C25</f>
        <v>11325</v>
      </c>
      <c r="G46" s="12">
        <f>G26+встройка!D25</f>
        <v>11482</v>
      </c>
      <c r="H46" s="12">
        <f>H26+встройка!E25</f>
        <v>17724</v>
      </c>
      <c r="I46" s="15">
        <f>SUM(E46:H46)</f>
        <v>63080</v>
      </c>
    </row>
    <row r="47" spans="1:9" x14ac:dyDescent="0.25">
      <c r="B47" s="37"/>
      <c r="C47" s="37"/>
      <c r="D47" s="16" t="s">
        <v>12</v>
      </c>
      <c r="E47" s="12">
        <f>E27+встройка!B26</f>
        <v>304</v>
      </c>
      <c r="F47" s="12">
        <f>F27+встройка!C26</f>
        <v>352</v>
      </c>
      <c r="G47" s="12">
        <f>G27+встройка!D26</f>
        <v>346</v>
      </c>
      <c r="H47" s="12">
        <f>H27+встройка!E26</f>
        <v>523</v>
      </c>
      <c r="I47" s="15">
        <f>SUM(E47:H47)</f>
        <v>1525</v>
      </c>
    </row>
    <row r="48" spans="1:9" x14ac:dyDescent="0.25">
      <c r="B48" s="37"/>
      <c r="C48" s="37"/>
    </row>
    <row r="49" spans="2:9" x14ac:dyDescent="0.25">
      <c r="B49" s="37"/>
      <c r="C49" s="37"/>
    </row>
    <row r="50" spans="2:9" x14ac:dyDescent="0.25">
      <c r="B50" s="37"/>
      <c r="C50" s="37"/>
      <c r="D50" s="14" t="s">
        <v>17</v>
      </c>
      <c r="E50" s="11">
        <v>2025</v>
      </c>
      <c r="F50" s="11">
        <v>2026</v>
      </c>
      <c r="G50" s="11">
        <v>2027</v>
      </c>
      <c r="H50" s="11">
        <v>2028</v>
      </c>
    </row>
    <row r="51" spans="2:9" x14ac:dyDescent="0.25">
      <c r="B51" s="37"/>
      <c r="C51" s="37"/>
      <c r="D51" s="16" t="s">
        <v>11</v>
      </c>
      <c r="E51" s="12">
        <f>[4]свод!$H$20</f>
        <v>13905</v>
      </c>
      <c r="F51" s="12">
        <f>[4]свод!$N$20</f>
        <v>14024</v>
      </c>
      <c r="G51" s="12">
        <f>[4]свод!$T$20</f>
        <v>14178</v>
      </c>
      <c r="H51" s="12">
        <f>I46-SUM(E51:G51)</f>
        <v>20973</v>
      </c>
      <c r="I51" s="15">
        <f>SUM(E51:H51)</f>
        <v>63080</v>
      </c>
    </row>
    <row r="52" spans="2:9" x14ac:dyDescent="0.25">
      <c r="B52" s="37"/>
      <c r="C52" s="37"/>
      <c r="D52" s="16" t="s">
        <v>12</v>
      </c>
      <c r="E52" s="12">
        <f>[4]свод!$H$21</f>
        <v>277</v>
      </c>
      <c r="F52" s="12">
        <f>[4]свод!$N$21</f>
        <v>377</v>
      </c>
      <c r="G52" s="12">
        <f>SUM(E47:G47)-E52-F52</f>
        <v>348</v>
      </c>
      <c r="H52" s="12">
        <f>I47-SUM(E52:G52)</f>
        <v>523</v>
      </c>
      <c r="I52" s="15">
        <f>SUM(E52:H52)</f>
        <v>1525</v>
      </c>
    </row>
  </sheetData>
  <mergeCells count="7">
    <mergeCell ref="B35:C41"/>
    <mergeCell ref="B46:C52"/>
    <mergeCell ref="B26:C27"/>
    <mergeCell ref="A1:D1"/>
    <mergeCell ref="D7:D8"/>
    <mergeCell ref="B23:C25"/>
    <mergeCell ref="D11:D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A352FC-003B-448A-B0EA-FF7287CC6F17}">
  <dimension ref="A1:P26"/>
  <sheetViews>
    <sheetView workbookViewId="0">
      <selection activeCell="D31" sqref="D31"/>
    </sheetView>
  </sheetViews>
  <sheetFormatPr defaultRowHeight="15" x14ac:dyDescent="0.25"/>
  <cols>
    <col min="1" max="1" width="67.85546875" customWidth="1"/>
    <col min="2" max="2" width="13.85546875" customWidth="1"/>
    <col min="3" max="3" width="12" customWidth="1"/>
    <col min="4" max="4" width="12.140625" customWidth="1"/>
  </cols>
  <sheetData>
    <row r="1" spans="1:16" x14ac:dyDescent="0.25">
      <c r="A1" s="1" t="s">
        <v>33</v>
      </c>
      <c r="B1" s="1"/>
      <c r="C1" s="1"/>
      <c r="D1" s="1"/>
    </row>
    <row r="2" spans="1:16" x14ac:dyDescent="0.25">
      <c r="A2" s="1"/>
      <c r="B2" s="1"/>
      <c r="C2" s="1"/>
      <c r="D2" s="1"/>
    </row>
    <row r="3" spans="1:16" x14ac:dyDescent="0.25">
      <c r="A3" t="s">
        <v>36</v>
      </c>
    </row>
    <row r="4" spans="1:16" x14ac:dyDescent="0.25">
      <c r="A4" t="s">
        <v>37</v>
      </c>
    </row>
    <row r="5" spans="1:16" x14ac:dyDescent="0.25">
      <c r="A5" t="s">
        <v>38</v>
      </c>
    </row>
    <row r="6" spans="1:16" x14ac:dyDescent="0.25">
      <c r="A6" t="s">
        <v>39</v>
      </c>
    </row>
    <row r="7" spans="1:16" x14ac:dyDescent="0.25">
      <c r="A7" t="s">
        <v>40</v>
      </c>
    </row>
    <row r="10" spans="1:16" x14ac:dyDescent="0.25">
      <c r="A10" s="24" t="s">
        <v>34</v>
      </c>
      <c r="B10" s="22">
        <v>2020</v>
      </c>
      <c r="C10" s="22">
        <v>2021</v>
      </c>
      <c r="D10" s="22">
        <v>2022</v>
      </c>
      <c r="E10" s="22">
        <v>2023</v>
      </c>
      <c r="F10" s="22">
        <v>2024</v>
      </c>
      <c r="G10" s="22">
        <v>2025</v>
      </c>
      <c r="H10" s="22">
        <v>2026</v>
      </c>
      <c r="I10" s="22">
        <v>2027</v>
      </c>
      <c r="J10" s="22">
        <v>2028</v>
      </c>
      <c r="K10" s="22">
        <v>2029</v>
      </c>
      <c r="L10" s="22">
        <v>2030</v>
      </c>
      <c r="M10" s="22">
        <v>2031</v>
      </c>
      <c r="N10" s="22">
        <v>2032</v>
      </c>
      <c r="O10" s="22">
        <v>2033</v>
      </c>
      <c r="P10" s="22">
        <v>2034</v>
      </c>
    </row>
    <row r="11" spans="1:16" x14ac:dyDescent="0.25">
      <c r="A11" s="23" t="s">
        <v>0</v>
      </c>
      <c r="B11" s="12">
        <f>[5]свод!B$5+[6]свод!B$5+[7]свод!B$5+[8]СПБ!H$567</f>
        <v>668</v>
      </c>
      <c r="C11" s="12">
        <f>[5]свод!C$5+[6]свод!C$5+[7]свод!C$5+[8]СПБ!I$567</f>
        <v>76</v>
      </c>
      <c r="D11" s="12">
        <f>[5]свод!D$5+[6]свод!D$5+[7]свод!D$5+[8]СПБ!J$567</f>
        <v>196</v>
      </c>
      <c r="E11" s="12">
        <f>[5]свод!E$5+[6]свод!E$5+[7]свод!E$5+[8]СПБ!K$567</f>
        <v>419</v>
      </c>
      <c r="F11" s="12">
        <f>[5]свод!F$5+[6]свод!F$5+[7]свод!F$5+[8]СПБ!L$567</f>
        <v>299</v>
      </c>
      <c r="G11" s="12">
        <f>[5]свод!G$5+[6]свод!G$5+[7]свод!G$5+[8]СПБ!M$567</f>
        <v>442</v>
      </c>
      <c r="H11" s="12">
        <f>[5]свод!H$5+[6]свод!H$5+[7]свод!H$5+[8]СПБ!N$567</f>
        <v>603</v>
      </c>
      <c r="I11" s="12">
        <f>[5]свод!I$5+[6]свод!I$5+[7]свод!I$5+[8]СПБ!O$567</f>
        <v>1208</v>
      </c>
      <c r="J11" s="12">
        <f>[5]свод!J$5+[6]свод!J$5+[7]свод!J$5+[8]СПБ!P$567</f>
        <v>1320</v>
      </c>
      <c r="K11" s="12">
        <f>[5]свод!K$5+[6]свод!K$5+[8]СПБ!Q$567</f>
        <v>52</v>
      </c>
      <c r="L11" s="12">
        <f>[5]свод!L$5+[8]СПБ!R$567</f>
        <v>7</v>
      </c>
      <c r="M11" s="12">
        <f>[5]свод!M$5+[8]СПБ!S$567</f>
        <v>3</v>
      </c>
      <c r="N11" s="12">
        <f>[5]свод!N$5+[6]свод!L$5+[8]СПБ!T$567</f>
        <v>1</v>
      </c>
      <c r="O11" s="12">
        <f>[5]свод!O$5+[6]свод!M$5+[8]СПБ!U$567</f>
        <v>10</v>
      </c>
      <c r="P11" s="12">
        <f>[5]свод!P$5+[6]свод!N$5+[8]СПБ!V$567</f>
        <v>9</v>
      </c>
    </row>
    <row r="12" spans="1:16" x14ac:dyDescent="0.25">
      <c r="A12" s="23" t="s">
        <v>1</v>
      </c>
      <c r="B12" s="23">
        <f>[8]ЛО!H$459</f>
        <v>5</v>
      </c>
      <c r="C12" s="23">
        <f>[8]ЛО!I$459</f>
        <v>0</v>
      </c>
      <c r="D12" s="23">
        <f>[8]ЛО!J$459</f>
        <v>6</v>
      </c>
      <c r="E12" s="23">
        <f>[8]ЛО!K$459</f>
        <v>6</v>
      </c>
      <c r="F12" s="23">
        <f>[8]ЛО!L$459</f>
        <v>4</v>
      </c>
      <c r="G12" s="23">
        <f>[8]ЛО!M$459</f>
        <v>6</v>
      </c>
      <c r="H12" s="23">
        <f>[8]ЛО!N$459</f>
        <v>12</v>
      </c>
      <c r="I12" s="23">
        <f>[8]ЛО!O$459</f>
        <v>25</v>
      </c>
      <c r="J12" s="23">
        <f>[8]ЛО!P$459</f>
        <v>11</v>
      </c>
      <c r="K12" s="23">
        <f>[8]ЛО!Q$459</f>
        <v>0</v>
      </c>
      <c r="L12" s="23">
        <f>[8]ЛО!R$459</f>
        <v>0</v>
      </c>
      <c r="M12" s="23">
        <f>[8]ЛО!S$459</f>
        <v>0</v>
      </c>
      <c r="N12" s="23">
        <f>[8]ЛО!T$459</f>
        <v>0</v>
      </c>
      <c r="O12" s="23">
        <f>[8]ЛО!U$459</f>
        <v>0</v>
      </c>
      <c r="P12" s="23">
        <f>[8]ЛО!V$459</f>
        <v>0</v>
      </c>
    </row>
    <row r="15" spans="1:16" x14ac:dyDescent="0.25">
      <c r="A15" s="24" t="s">
        <v>35</v>
      </c>
      <c r="B15" s="22">
        <v>2020</v>
      </c>
      <c r="C15" s="22">
        <v>2021</v>
      </c>
      <c r="D15" s="22">
        <v>2022</v>
      </c>
      <c r="E15" s="22">
        <v>2023</v>
      </c>
      <c r="F15" s="22">
        <v>2024</v>
      </c>
      <c r="G15" s="22">
        <v>2025</v>
      </c>
      <c r="H15" s="22">
        <v>2026</v>
      </c>
      <c r="I15" s="22">
        <v>2027</v>
      </c>
      <c r="J15" s="22">
        <v>2028</v>
      </c>
      <c r="K15" s="22">
        <v>2029</v>
      </c>
      <c r="L15" s="22">
        <v>2030</v>
      </c>
      <c r="M15" s="22">
        <v>2031</v>
      </c>
      <c r="N15" s="22">
        <v>2032</v>
      </c>
      <c r="O15" s="22">
        <v>2033</v>
      </c>
      <c r="P15" s="22">
        <v>2034</v>
      </c>
    </row>
    <row r="16" spans="1:16" x14ac:dyDescent="0.25">
      <c r="A16" s="23" t="s">
        <v>0</v>
      </c>
      <c r="B16" s="12">
        <f>[5]свод!B$6+[6]свод!B$6+[7]свод!B$6+[8]СПБ!H$568</f>
        <v>807</v>
      </c>
      <c r="C16" s="12">
        <f>[5]свод!C$6+[6]свод!C$6+[7]свод!C$6+[8]СПБ!I$568</f>
        <v>106</v>
      </c>
      <c r="D16" s="12">
        <f>[5]свод!D$6+[6]свод!D$6+[7]свод!D$6+[8]СПБ!J$568</f>
        <v>181</v>
      </c>
      <c r="E16" s="12">
        <f>[5]свод!E$6+[6]свод!E$6+[7]свод!E$6+[8]СПБ!K$568</f>
        <v>300</v>
      </c>
      <c r="F16" s="12">
        <f>[5]свод!F$6+[6]свод!F$6+[7]свод!F$6+[8]СПБ!L$568</f>
        <v>720</v>
      </c>
      <c r="G16" s="12">
        <f>[5]свод!G$6+[6]свод!G$6+[7]свод!G$6+[8]СПБ!M$568</f>
        <v>1347</v>
      </c>
      <c r="H16" s="12">
        <f>[5]свод!H$6+[6]свод!H$6+[7]свод!H$6+[8]СПБ!N$568</f>
        <v>1852</v>
      </c>
      <c r="I16" s="12">
        <f>[5]свод!I$6+[6]свод!I$6+[7]свод!I$6+[8]СПБ!O$568</f>
        <v>1911</v>
      </c>
      <c r="J16" s="12">
        <f>[5]свод!J$6+[6]свод!J$6+[7]свод!J$6+[8]СПБ!P$568</f>
        <v>2320</v>
      </c>
      <c r="K16" s="12">
        <f>[5]свод!K$6+[6]свод!K$6+[8]СПБ!Q$568</f>
        <v>52</v>
      </c>
      <c r="L16" s="12">
        <f>[5]свод!L$6+[8]СПБ!R$568</f>
        <v>12</v>
      </c>
      <c r="M16" s="12">
        <f>[5]свод!M$6+[8]СПБ!S$568</f>
        <v>14</v>
      </c>
      <c r="N16" s="12">
        <f>[5]свод!N$6+[6]свод!L$6+[8]СПБ!T$568</f>
        <v>8</v>
      </c>
      <c r="O16" s="12">
        <f>[5]свод!O$6+[6]свод!M$6+[8]СПБ!U$568</f>
        <v>11</v>
      </c>
      <c r="P16" s="12">
        <f>[5]свод!P$6+[6]свод!N$6+[8]СПБ!V$568</f>
        <v>16</v>
      </c>
    </row>
    <row r="17" spans="1:16" x14ac:dyDescent="0.25">
      <c r="A17" s="23" t="s">
        <v>1</v>
      </c>
      <c r="B17" s="23">
        <f>[8]ЛО!H$460</f>
        <v>13</v>
      </c>
      <c r="C17" s="23">
        <f>[8]ЛО!I$460</f>
        <v>4</v>
      </c>
      <c r="D17" s="23">
        <f>[8]ЛО!J$460</f>
        <v>2</v>
      </c>
      <c r="E17" s="23">
        <f>[8]ЛО!K$460</f>
        <v>13</v>
      </c>
      <c r="F17" s="23">
        <f>[8]ЛО!L$460</f>
        <v>35</v>
      </c>
      <c r="G17" s="23">
        <f>[8]ЛО!M$460</f>
        <v>28</v>
      </c>
      <c r="H17" s="23">
        <f>[8]ЛО!N$460</f>
        <v>73</v>
      </c>
      <c r="I17" s="23">
        <f>[8]ЛО!O$460</f>
        <v>58</v>
      </c>
      <c r="J17" s="23">
        <f>[8]ЛО!P$460</f>
        <v>46</v>
      </c>
      <c r="K17" s="23">
        <f>[8]ЛО!Q$460</f>
        <v>5</v>
      </c>
      <c r="L17" s="23">
        <f>[8]ЛО!R$460</f>
        <v>1</v>
      </c>
      <c r="M17" s="23">
        <f>[8]ЛО!S$460</f>
        <v>9</v>
      </c>
      <c r="N17" s="23">
        <f>[8]ЛО!T$460</f>
        <v>14</v>
      </c>
      <c r="O17" s="23">
        <f>[8]ЛО!U$460</f>
        <v>14</v>
      </c>
      <c r="P17" s="23">
        <f>[8]ЛО!V$460</f>
        <v>23</v>
      </c>
    </row>
    <row r="20" spans="1:16" x14ac:dyDescent="0.25">
      <c r="A20" s="29" t="s">
        <v>47</v>
      </c>
      <c r="B20" s="22">
        <v>2025</v>
      </c>
      <c r="C20" s="22">
        <v>2026</v>
      </c>
      <c r="D20" s="22">
        <v>2027</v>
      </c>
      <c r="E20" s="22">
        <v>2028</v>
      </c>
    </row>
    <row r="21" spans="1:16" x14ac:dyDescent="0.25">
      <c r="A21" s="9" t="s">
        <v>11</v>
      </c>
      <c r="B21" s="12">
        <f>SUM(B11:G11)</f>
        <v>2100</v>
      </c>
      <c r="C21" s="12">
        <f>H11</f>
        <v>603</v>
      </c>
      <c r="D21" s="12">
        <f t="shared" ref="D21:E21" si="0">I11</f>
        <v>1208</v>
      </c>
      <c r="E21" s="12">
        <f t="shared" si="0"/>
        <v>1320</v>
      </c>
    </row>
    <row r="22" spans="1:16" x14ac:dyDescent="0.25">
      <c r="A22" s="9" t="s">
        <v>12</v>
      </c>
      <c r="B22" s="12">
        <f>SUM(B16:G16)</f>
        <v>3461</v>
      </c>
      <c r="C22" s="12">
        <f>H16</f>
        <v>1852</v>
      </c>
      <c r="D22" s="12">
        <f t="shared" ref="D22:E22" si="1">I16</f>
        <v>1911</v>
      </c>
      <c r="E22" s="12">
        <f t="shared" si="1"/>
        <v>2320</v>
      </c>
    </row>
    <row r="24" spans="1:16" x14ac:dyDescent="0.25">
      <c r="A24" s="29" t="s">
        <v>48</v>
      </c>
      <c r="B24" s="22">
        <v>2025</v>
      </c>
      <c r="C24" s="22">
        <v>2026</v>
      </c>
      <c r="D24" s="22">
        <v>2027</v>
      </c>
      <c r="E24" s="22">
        <v>2028</v>
      </c>
    </row>
    <row r="25" spans="1:16" x14ac:dyDescent="0.25">
      <c r="A25" s="9" t="s">
        <v>11</v>
      </c>
      <c r="B25" s="12">
        <f>SUM(B12:G12)</f>
        <v>27</v>
      </c>
      <c r="C25" s="12">
        <f>H12</f>
        <v>12</v>
      </c>
      <c r="D25" s="12">
        <f t="shared" ref="D25:E25" si="2">I12</f>
        <v>25</v>
      </c>
      <c r="E25" s="12">
        <f t="shared" si="2"/>
        <v>11</v>
      </c>
    </row>
    <row r="26" spans="1:16" x14ac:dyDescent="0.25">
      <c r="A26" s="9" t="s">
        <v>12</v>
      </c>
      <c r="B26" s="12">
        <f>SUM(B17:G17)</f>
        <v>95</v>
      </c>
      <c r="C26" s="12">
        <f t="shared" ref="C26:E26" si="3">SUM(C17:H17)</f>
        <v>155</v>
      </c>
      <c r="D26" s="12">
        <f t="shared" si="3"/>
        <v>209</v>
      </c>
      <c r="E26" s="12">
        <f t="shared" si="3"/>
        <v>253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8C3F69-B12D-4C92-9B66-EDC41D2132A8}">
  <dimension ref="A1:D23"/>
  <sheetViews>
    <sheetView workbookViewId="0">
      <selection activeCell="A9" sqref="A9:C23"/>
    </sheetView>
  </sheetViews>
  <sheetFormatPr defaultRowHeight="15" x14ac:dyDescent="0.25"/>
  <cols>
    <col min="1" max="1" width="63.5703125" customWidth="1"/>
    <col min="2" max="2" width="13.85546875" customWidth="1"/>
    <col min="3" max="3" width="12" customWidth="1"/>
    <col min="4" max="4" width="94.85546875" customWidth="1"/>
  </cols>
  <sheetData>
    <row r="1" spans="1:4" x14ac:dyDescent="0.25">
      <c r="A1" s="38" t="s">
        <v>20</v>
      </c>
      <c r="B1" s="38"/>
      <c r="C1" s="38"/>
      <c r="D1" s="38"/>
    </row>
    <row r="2" spans="1:4" x14ac:dyDescent="0.25">
      <c r="A2" s="1"/>
      <c r="B2" s="1"/>
      <c r="C2" s="1"/>
      <c r="D2" s="1"/>
    </row>
    <row r="3" spans="1:4" x14ac:dyDescent="0.25">
      <c r="A3" s="3"/>
      <c r="B3" s="4" t="s">
        <v>0</v>
      </c>
      <c r="C3" s="4" t="s">
        <v>1</v>
      </c>
      <c r="D3" s="4" t="s">
        <v>6</v>
      </c>
    </row>
    <row r="4" spans="1:4" x14ac:dyDescent="0.25">
      <c r="A4" s="3" t="s">
        <v>21</v>
      </c>
      <c r="B4" s="5">
        <f>SUM([9]свод!$C$3:$K$3)</f>
        <v>21148</v>
      </c>
      <c r="C4" s="5">
        <f>SUM([9]свод!$C$4:$K$4)</f>
        <v>5614</v>
      </c>
      <c r="D4" s="3" t="s">
        <v>26</v>
      </c>
    </row>
    <row r="5" spans="1:4" ht="30" x14ac:dyDescent="0.25">
      <c r="A5" s="7" t="s">
        <v>7</v>
      </c>
      <c r="B5" s="5">
        <f>B4*2</f>
        <v>42296</v>
      </c>
      <c r="C5" s="5">
        <f>C4*2</f>
        <v>11228</v>
      </c>
      <c r="D5" s="3" t="s">
        <v>15</v>
      </c>
    </row>
    <row r="6" spans="1:4" ht="30" x14ac:dyDescent="0.25">
      <c r="A6" s="7" t="s">
        <v>22</v>
      </c>
      <c r="B6" s="17">
        <f>[10]свод!$AC$7+[10]свод!$AC$8</f>
        <v>17803</v>
      </c>
      <c r="C6" s="17">
        <f>[10]свод!$AC$22+[10]свод!$AC$23</f>
        <v>2953</v>
      </c>
      <c r="D6" s="3" t="s">
        <v>23</v>
      </c>
    </row>
    <row r="7" spans="1:4" x14ac:dyDescent="0.25">
      <c r="A7" s="3" t="s">
        <v>24</v>
      </c>
      <c r="B7" s="6">
        <f>B5-B6</f>
        <v>24493</v>
      </c>
      <c r="C7" s="6">
        <f>C5-C6</f>
        <v>8275</v>
      </c>
      <c r="D7" s="3"/>
    </row>
    <row r="9" spans="1:4" x14ac:dyDescent="0.25">
      <c r="B9" s="41" t="s">
        <v>27</v>
      </c>
      <c r="C9" s="41"/>
    </row>
    <row r="10" spans="1:4" x14ac:dyDescent="0.25">
      <c r="A10" t="s">
        <v>25</v>
      </c>
      <c r="B10" s="19" t="s">
        <v>0</v>
      </c>
      <c r="C10" s="19" t="s">
        <v>1</v>
      </c>
    </row>
    <row r="11" spans="1:4" x14ac:dyDescent="0.25">
      <c r="A11">
        <v>2025</v>
      </c>
      <c r="B11" s="18">
        <f>SUM([9]свод!$C$3:$H$3)*2-B6</f>
        <v>23865</v>
      </c>
      <c r="C11" s="18">
        <f>SUM([9]свод!$C$4:$H$4)*2-C6</f>
        <v>8015</v>
      </c>
    </row>
    <row r="12" spans="1:4" x14ac:dyDescent="0.25">
      <c r="A12">
        <v>2026</v>
      </c>
      <c r="B12" s="18">
        <f>[9]свод!$I$3*2</f>
        <v>250</v>
      </c>
      <c r="C12" s="18">
        <f>[9]свод!$I$4*2</f>
        <v>82</v>
      </c>
    </row>
    <row r="13" spans="1:4" x14ac:dyDescent="0.25">
      <c r="A13">
        <v>2027</v>
      </c>
      <c r="B13" s="18">
        <f>[9]свод!$J$3*2</f>
        <v>210</v>
      </c>
      <c r="C13" s="18">
        <f>[9]свод!$J$4*2</f>
        <v>100</v>
      </c>
    </row>
    <row r="14" spans="1:4" x14ac:dyDescent="0.25">
      <c r="A14">
        <v>2028</v>
      </c>
      <c r="B14" s="18">
        <f>[9]свод!$K$3*2</f>
        <v>168</v>
      </c>
      <c r="C14" s="18">
        <f>[9]свод!$K$4*2</f>
        <v>78</v>
      </c>
    </row>
    <row r="17" spans="1:3" x14ac:dyDescent="0.25">
      <c r="B17" s="41" t="s">
        <v>28</v>
      </c>
      <c r="C17" s="41"/>
    </row>
    <row r="18" spans="1:3" x14ac:dyDescent="0.25">
      <c r="A18" t="s">
        <v>25</v>
      </c>
      <c r="B18" s="19" t="s">
        <v>0</v>
      </c>
      <c r="C18" s="19" t="s">
        <v>1</v>
      </c>
    </row>
    <row r="19" spans="1:3" x14ac:dyDescent="0.25">
      <c r="A19">
        <v>2025</v>
      </c>
      <c r="B19" s="18">
        <f>[4]свод!$H$7+[4]свод!$H$8</f>
        <v>7724</v>
      </c>
      <c r="C19" s="18">
        <f>[4]свод!$H$22+[4]свод!$H$23</f>
        <v>1522</v>
      </c>
    </row>
    <row r="20" spans="1:3" x14ac:dyDescent="0.25">
      <c r="A20">
        <v>2026</v>
      </c>
      <c r="B20" s="18">
        <f>[4]свод!$N$7+[4]свод!$N$8</f>
        <v>6019</v>
      </c>
      <c r="C20" s="18">
        <f>[4]свод!$N$22+[4]свод!$N$23</f>
        <v>2281</v>
      </c>
    </row>
    <row r="21" spans="1:3" x14ac:dyDescent="0.25">
      <c r="A21">
        <v>2027</v>
      </c>
      <c r="B21" s="18">
        <f>[4]свод!$T$7+[4]свод!$T$8</f>
        <v>5676</v>
      </c>
      <c r="C21" s="18">
        <f>[4]свод!$T$22+[4]свод!$T$23</f>
        <v>1897</v>
      </c>
    </row>
    <row r="22" spans="1:3" x14ac:dyDescent="0.25">
      <c r="A22">
        <v>2028</v>
      </c>
      <c r="B22" s="18">
        <f>[4]свод!$Z$7+[4]свод!$Z$8</f>
        <v>5074</v>
      </c>
      <c r="C22" s="18">
        <f>[4]свод!$Z$22+[4]свод!$Z$23</f>
        <v>2575</v>
      </c>
    </row>
    <row r="23" spans="1:3" x14ac:dyDescent="0.25">
      <c r="B23" s="18">
        <f>SUM(B19:B22)</f>
        <v>24493</v>
      </c>
      <c r="C23" s="18">
        <f>SUM(C19:C22)</f>
        <v>8275</v>
      </c>
    </row>
  </sheetData>
  <mergeCells count="3">
    <mergeCell ref="A1:D1"/>
    <mergeCell ref="B9:C9"/>
    <mergeCell ref="B17:C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ED1667-C260-4342-B660-D77B84CA6A02}">
  <dimension ref="A1:D48"/>
  <sheetViews>
    <sheetView workbookViewId="0">
      <selection activeCell="D45" sqref="D45"/>
    </sheetView>
  </sheetViews>
  <sheetFormatPr defaultRowHeight="15" x14ac:dyDescent="0.25"/>
  <cols>
    <col min="1" max="1" width="63.5703125" style="1" customWidth="1"/>
    <col min="2" max="2" width="13.85546875" style="1" customWidth="1"/>
    <col min="3" max="3" width="12" style="1" customWidth="1"/>
    <col min="4" max="4" width="94.85546875" style="1" customWidth="1"/>
    <col min="5" max="16384" width="9.140625" style="1"/>
  </cols>
  <sheetData>
    <row r="1" spans="1:4" x14ac:dyDescent="0.25">
      <c r="A1" s="38" t="s">
        <v>9</v>
      </c>
      <c r="B1" s="38"/>
      <c r="C1" s="38"/>
      <c r="D1" s="38"/>
    </row>
    <row r="3" spans="1:4" x14ac:dyDescent="0.25">
      <c r="A3" s="3"/>
      <c r="B3" s="4" t="s">
        <v>0</v>
      </c>
      <c r="C3" s="4" t="s">
        <v>1</v>
      </c>
      <c r="D3" s="4" t="s">
        <v>6</v>
      </c>
    </row>
    <row r="4" spans="1:4" x14ac:dyDescent="0.25">
      <c r="A4" s="3" t="s">
        <v>21</v>
      </c>
      <c r="B4" s="5">
        <f>ОДПУ!B4</f>
        <v>21148</v>
      </c>
      <c r="C4" s="5">
        <f>ОДПУ!C4</f>
        <v>5614</v>
      </c>
      <c r="D4" s="3" t="s">
        <v>2</v>
      </c>
    </row>
    <row r="5" spans="1:4" x14ac:dyDescent="0.25">
      <c r="A5" s="3" t="s">
        <v>3</v>
      </c>
      <c r="B5" s="5">
        <f>B4</f>
        <v>21148</v>
      </c>
      <c r="C5" s="5">
        <f>C4</f>
        <v>5614</v>
      </c>
      <c r="D5" s="3" t="s">
        <v>4</v>
      </c>
    </row>
    <row r="6" spans="1:4" x14ac:dyDescent="0.25">
      <c r="A6" s="3" t="s">
        <v>29</v>
      </c>
      <c r="B6" s="5">
        <f>[4]свод!$B$9</f>
        <v>7683</v>
      </c>
      <c r="C6" s="5">
        <f>[4]свод!$B$24</f>
        <v>1162</v>
      </c>
      <c r="D6" s="10" t="s">
        <v>31</v>
      </c>
    </row>
    <row r="7" spans="1:4" x14ac:dyDescent="0.25">
      <c r="A7" s="3" t="s">
        <v>30</v>
      </c>
      <c r="B7" s="6">
        <f>B5-B6</f>
        <v>13465</v>
      </c>
      <c r="C7" s="6">
        <f>C5-C6</f>
        <v>4452</v>
      </c>
      <c r="D7" s="3"/>
    </row>
    <row r="9" spans="1:4" x14ac:dyDescent="0.25">
      <c r="A9"/>
      <c r="B9" s="41" t="s">
        <v>27</v>
      </c>
      <c r="C9" s="41"/>
    </row>
    <row r="10" spans="1:4" x14ac:dyDescent="0.25">
      <c r="A10" t="s">
        <v>25</v>
      </c>
      <c r="B10" s="19" t="s">
        <v>0</v>
      </c>
      <c r="C10" s="19" t="s">
        <v>1</v>
      </c>
    </row>
    <row r="11" spans="1:4" x14ac:dyDescent="0.25">
      <c r="A11">
        <v>2025</v>
      </c>
      <c r="B11" s="18">
        <f>SUM([9]свод!$C$3:$H$3)-B6</f>
        <v>13151</v>
      </c>
      <c r="C11" s="18">
        <f>SUM([9]свод!$C$4:$H$4)-C6</f>
        <v>4322</v>
      </c>
    </row>
    <row r="12" spans="1:4" x14ac:dyDescent="0.25">
      <c r="A12">
        <v>2026</v>
      </c>
      <c r="B12" s="18">
        <f>[9]свод!$I$3</f>
        <v>125</v>
      </c>
      <c r="C12" s="18">
        <f>[9]свод!$I$4</f>
        <v>41</v>
      </c>
    </row>
    <row r="13" spans="1:4" x14ac:dyDescent="0.25">
      <c r="A13">
        <v>2027</v>
      </c>
      <c r="B13" s="18">
        <f>[9]свод!$J$3</f>
        <v>105</v>
      </c>
      <c r="C13" s="18">
        <f>[9]свод!$J$4</f>
        <v>50</v>
      </c>
    </row>
    <row r="14" spans="1:4" x14ac:dyDescent="0.25">
      <c r="A14">
        <v>2028</v>
      </c>
      <c r="B14" s="18">
        <f>[9]свод!$K$3</f>
        <v>84</v>
      </c>
      <c r="C14" s="18">
        <f>[9]свод!$K$4</f>
        <v>39</v>
      </c>
    </row>
    <row r="15" spans="1:4" x14ac:dyDescent="0.25">
      <c r="A15"/>
      <c r="B15"/>
      <c r="C15"/>
    </row>
    <row r="16" spans="1:4" x14ac:dyDescent="0.25">
      <c r="A16"/>
      <c r="B16"/>
      <c r="C16"/>
    </row>
    <row r="17" spans="1:4" x14ac:dyDescent="0.25">
      <c r="A17"/>
      <c r="B17" s="41" t="s">
        <v>28</v>
      </c>
      <c r="C17" s="41"/>
    </row>
    <row r="18" spans="1:4" x14ac:dyDescent="0.25">
      <c r="A18" t="s">
        <v>25</v>
      </c>
      <c r="B18" s="19" t="s">
        <v>0</v>
      </c>
      <c r="C18" s="19" t="s">
        <v>1</v>
      </c>
    </row>
    <row r="19" spans="1:4" x14ac:dyDescent="0.25">
      <c r="A19">
        <v>2025</v>
      </c>
      <c r="B19" s="18">
        <f>[4]свод!$H$9</f>
        <v>4613</v>
      </c>
      <c r="C19" s="18">
        <f>[4]свод!$H$24</f>
        <v>1145</v>
      </c>
    </row>
    <row r="20" spans="1:4" x14ac:dyDescent="0.25">
      <c r="A20">
        <v>2026</v>
      </c>
      <c r="B20" s="18">
        <f>[4]свод!$N$9</f>
        <v>1868</v>
      </c>
      <c r="C20" s="18">
        <f>[4]свод!$N$24</f>
        <v>937</v>
      </c>
    </row>
    <row r="21" spans="1:4" x14ac:dyDescent="0.25">
      <c r="A21">
        <v>2027</v>
      </c>
      <c r="B21" s="18">
        <f>[4]свод!$T$9</f>
        <v>6900</v>
      </c>
      <c r="C21" s="18">
        <f>[4]свод!$T$24</f>
        <v>987</v>
      </c>
    </row>
    <row r="22" spans="1:4" x14ac:dyDescent="0.25">
      <c r="A22">
        <v>2028</v>
      </c>
      <c r="B22" s="18">
        <f>[4]свод!$Z$9</f>
        <v>84</v>
      </c>
      <c r="C22" s="18">
        <f>[4]свод!$Z$24</f>
        <v>250</v>
      </c>
    </row>
    <row r="23" spans="1:4" x14ac:dyDescent="0.25">
      <c r="A23"/>
      <c r="B23" s="20">
        <f>SUM(B19:B22)</f>
        <v>13465</v>
      </c>
      <c r="C23" s="21">
        <f>SUM(C19:C22)</f>
        <v>3319</v>
      </c>
    </row>
    <row r="24" spans="1:4" x14ac:dyDescent="0.25">
      <c r="B24" s="2"/>
      <c r="C24" s="2"/>
    </row>
    <row r="25" spans="1:4" x14ac:dyDescent="0.25">
      <c r="B25" s="2"/>
      <c r="C25" s="2"/>
    </row>
    <row r="26" spans="1:4" x14ac:dyDescent="0.25">
      <c r="B26" s="2"/>
      <c r="C26" s="2"/>
    </row>
    <row r="27" spans="1:4" x14ac:dyDescent="0.25">
      <c r="B27" s="2"/>
      <c r="C27" s="2"/>
    </row>
    <row r="28" spans="1:4" x14ac:dyDescent="0.25">
      <c r="B28" s="2"/>
      <c r="C28" s="2"/>
    </row>
    <row r="29" spans="1:4" x14ac:dyDescent="0.25">
      <c r="B29" s="2"/>
      <c r="C29" s="2"/>
    </row>
    <row r="30" spans="1:4" ht="45" x14ac:dyDescent="0.25">
      <c r="A30" s="7" t="s">
        <v>5</v>
      </c>
      <c r="B30" s="5">
        <f>B5*3</f>
        <v>63444</v>
      </c>
      <c r="C30" s="5">
        <f>C5*3</f>
        <v>16842</v>
      </c>
      <c r="D30" s="3" t="s">
        <v>2</v>
      </c>
    </row>
    <row r="31" spans="1:4" x14ac:dyDescent="0.25">
      <c r="A31" s="3" t="s">
        <v>32</v>
      </c>
      <c r="B31" s="5">
        <f>[4]свод!$B$10</f>
        <v>33237</v>
      </c>
      <c r="C31" s="5">
        <f>[4]свод!$B$25</f>
        <v>3999</v>
      </c>
      <c r="D31" s="10" t="s">
        <v>31</v>
      </c>
    </row>
    <row r="32" spans="1:4" x14ac:dyDescent="0.25">
      <c r="A32" s="3" t="s">
        <v>8</v>
      </c>
      <c r="B32" s="6">
        <f>B30-B31</f>
        <v>30207</v>
      </c>
      <c r="C32" s="6">
        <f>C30-C31</f>
        <v>12843</v>
      </c>
      <c r="D32" s="3"/>
    </row>
    <row r="34" spans="1:3" x14ac:dyDescent="0.25">
      <c r="A34"/>
      <c r="B34" s="41" t="s">
        <v>27</v>
      </c>
      <c r="C34" s="41"/>
    </row>
    <row r="35" spans="1:3" x14ac:dyDescent="0.25">
      <c r="A35" t="s">
        <v>25</v>
      </c>
      <c r="B35" s="19" t="s">
        <v>0</v>
      </c>
      <c r="C35" s="19" t="s">
        <v>1</v>
      </c>
    </row>
    <row r="36" spans="1:3" x14ac:dyDescent="0.25">
      <c r="A36">
        <v>2025</v>
      </c>
      <c r="B36" s="18">
        <f>SUM([9]свод!$C$3:$H$3)*3-B31</f>
        <v>29265</v>
      </c>
      <c r="C36" s="18">
        <f>SUM([9]свод!$C$4:$H$4)*3-C31</f>
        <v>12453</v>
      </c>
    </row>
    <row r="37" spans="1:3" x14ac:dyDescent="0.25">
      <c r="A37">
        <v>2026</v>
      </c>
      <c r="B37" s="18">
        <f>[9]свод!$I$3*3</f>
        <v>375</v>
      </c>
      <c r="C37" s="18">
        <f>[9]свод!$I$4*3</f>
        <v>123</v>
      </c>
    </row>
    <row r="38" spans="1:3" x14ac:dyDescent="0.25">
      <c r="A38">
        <v>2027</v>
      </c>
      <c r="B38" s="18">
        <f>[9]свод!$J$3*3</f>
        <v>315</v>
      </c>
      <c r="C38" s="18">
        <f>[9]свод!$J$4*3</f>
        <v>150</v>
      </c>
    </row>
    <row r="39" spans="1:3" x14ac:dyDescent="0.25">
      <c r="A39">
        <v>2028</v>
      </c>
      <c r="B39" s="18">
        <f>[9]свод!$K$3*3</f>
        <v>252</v>
      </c>
      <c r="C39" s="18">
        <f>[9]свод!$K$4*3</f>
        <v>117</v>
      </c>
    </row>
    <row r="40" spans="1:3" x14ac:dyDescent="0.25">
      <c r="A40"/>
      <c r="B40"/>
      <c r="C40"/>
    </row>
    <row r="41" spans="1:3" x14ac:dyDescent="0.25">
      <c r="A41"/>
      <c r="B41"/>
      <c r="C41"/>
    </row>
    <row r="42" spans="1:3" x14ac:dyDescent="0.25">
      <c r="A42"/>
      <c r="B42" s="41" t="s">
        <v>28</v>
      </c>
      <c r="C42" s="41"/>
    </row>
    <row r="43" spans="1:3" x14ac:dyDescent="0.25">
      <c r="A43" t="s">
        <v>25</v>
      </c>
      <c r="B43" s="19" t="s">
        <v>0</v>
      </c>
      <c r="C43" s="19" t="s">
        <v>1</v>
      </c>
    </row>
    <row r="44" spans="1:3" x14ac:dyDescent="0.25">
      <c r="A44">
        <v>2025</v>
      </c>
      <c r="B44" s="18">
        <f>[4]свод!$H$10</f>
        <v>13833</v>
      </c>
      <c r="C44" s="18">
        <f>[4]свод!$H$25</f>
        <v>4291</v>
      </c>
    </row>
    <row r="45" spans="1:3" x14ac:dyDescent="0.25">
      <c r="A45">
        <v>2026</v>
      </c>
      <c r="B45" s="18">
        <f>[4]свод!$N$10</f>
        <v>5604</v>
      </c>
      <c r="C45" s="18">
        <f>[4]свод!$N$25</f>
        <v>2311</v>
      </c>
    </row>
    <row r="46" spans="1:3" x14ac:dyDescent="0.25">
      <c r="A46">
        <v>2027</v>
      </c>
      <c r="B46" s="18">
        <f>[4]свод!$T$10</f>
        <v>10518</v>
      </c>
      <c r="C46" s="18">
        <f>[4]свод!$T$25</f>
        <v>2261</v>
      </c>
    </row>
    <row r="47" spans="1:3" x14ac:dyDescent="0.25">
      <c r="A47">
        <v>2028</v>
      </c>
      <c r="B47" s="18">
        <f>[4]свод!$Z$10</f>
        <v>252</v>
      </c>
      <c r="C47" s="18">
        <f>[4]свод!$Z$25</f>
        <v>1400</v>
      </c>
    </row>
    <row r="48" spans="1:3" x14ac:dyDescent="0.25">
      <c r="A48"/>
      <c r="B48" s="20">
        <f>SUM(B44:B47)</f>
        <v>30207</v>
      </c>
      <c r="C48" s="21">
        <f>SUM(C44:C47)</f>
        <v>10263</v>
      </c>
    </row>
  </sheetData>
  <mergeCells count="5">
    <mergeCell ref="A1:D1"/>
    <mergeCell ref="B9:C9"/>
    <mergeCell ref="B17:C17"/>
    <mergeCell ref="B34:C34"/>
    <mergeCell ref="B42:C4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квартирные ПУ</vt:lpstr>
      <vt:lpstr>встройка</vt:lpstr>
      <vt:lpstr>ОДПУ</vt:lpstr>
      <vt:lpstr>канал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Воронин Андрей Николаевич</dc:creator>
  <cp:lastModifiedBy>Воронин Андрей Николаевич</cp:lastModifiedBy>
  <dcterms:created xsi:type="dcterms:W3CDTF">2024-03-13T12:38:31Z</dcterms:created>
  <dcterms:modified xsi:type="dcterms:W3CDTF">2025-03-24T10:05:27Z</dcterms:modified>
</cp:coreProperties>
</file>